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05" windowWidth="9660" windowHeight="6840" activeTab="0"/>
  </bookViews>
  <sheets>
    <sheet name="Start" sheetId="1" r:id="rId1"/>
    <sheet name="Details" sheetId="2" r:id="rId2"/>
    <sheet name="Solar Day" sheetId="3" r:id="rId3"/>
  </sheets>
  <definedNames/>
  <calcPr fullCalcOnLoad="1"/>
</workbook>
</file>

<file path=xl/sharedStrings.xml><?xml version="1.0" encoding="utf-8"?>
<sst xmlns="http://schemas.openxmlformats.org/spreadsheetml/2006/main" count="137" uniqueCount="116">
  <si>
    <t>Enclosure Dimensions</t>
  </si>
  <si>
    <t>Area</t>
  </si>
  <si>
    <r>
      <t>Calculated Area (ft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</si>
  <si>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Height (in)</t>
  </si>
  <si>
    <t>Width (in)</t>
  </si>
  <si>
    <t>Depth (in)</t>
  </si>
  <si>
    <t>inches</t>
  </si>
  <si>
    <t>square ft.</t>
  </si>
  <si>
    <t>Max allow interior temp</t>
  </si>
  <si>
    <t>Max exterior temp</t>
  </si>
  <si>
    <t>deg F</t>
  </si>
  <si>
    <t xml:space="preserve">K = thermal conductivity </t>
  </si>
  <si>
    <t>mild steel</t>
  </si>
  <si>
    <r>
      <t>q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= 2DK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 xml:space="preserve"> (T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- T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</si>
  <si>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ground heat loss</t>
  </si>
  <si>
    <r>
      <t>q=(A</t>
    </r>
    <r>
      <rPr>
        <sz val="10"/>
        <rFont val="Symbol"/>
        <family val="1"/>
      </rPr>
      <t>D</t>
    </r>
    <r>
      <rPr>
        <sz val="10"/>
        <rFont val="Arial"/>
        <family val="0"/>
      </rPr>
      <t>T)/R</t>
    </r>
  </si>
  <si>
    <t>roof</t>
  </si>
  <si>
    <t>front</t>
  </si>
  <si>
    <t>left side</t>
  </si>
  <si>
    <t>right side</t>
  </si>
  <si>
    <t>back</t>
  </si>
  <si>
    <t>Gauge</t>
  </si>
  <si>
    <t>Inches</t>
  </si>
  <si>
    <t>Steel</t>
  </si>
  <si>
    <t>Surface</t>
  </si>
  <si>
    <t>Insulation</t>
  </si>
  <si>
    <t>R value</t>
  </si>
  <si>
    <t>thickness</t>
  </si>
  <si>
    <t>sq. ft</t>
  </si>
  <si>
    <t>Total eq.</t>
  </si>
  <si>
    <t>kW</t>
  </si>
  <si>
    <t>BTU/hr loss</t>
  </si>
  <si>
    <r>
      <t>R value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</si>
  <si>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includes inside air film and paint heat transfer resistance of R 0.67</t>
    </r>
  </si>
  <si>
    <r>
      <t>(BTU/hr/ft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</si>
  <si>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(BTU/day/ft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</si>
  <si>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(BTU/hr/ft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peak</t>
    </r>
  </si>
  <si>
    <t>Ave solar rad/day (40 deg lat)</t>
  </si>
  <si>
    <t>Actual latitude</t>
  </si>
  <si>
    <t>deg</t>
  </si>
  <si>
    <r>
      <t>(BTU/hr/ft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adjusted peak</t>
    </r>
  </si>
  <si>
    <t>Heat  xfer</t>
  </si>
  <si>
    <t>(q) BTU/hr</t>
  </si>
  <si>
    <r>
      <t>Peak/Ave solar radiation</t>
    </r>
    <r>
      <rPr>
        <vertAlign val="superscript"/>
        <sz val="10"/>
        <rFont val="Arial"/>
        <family val="2"/>
      </rPr>
      <t>2</t>
    </r>
  </si>
  <si>
    <r>
      <t>2</t>
    </r>
    <r>
      <rPr>
        <sz val="10"/>
        <rFont val="Arial"/>
        <family val="2"/>
      </rPr>
      <t xml:space="preserve"> Ratio decreases to 1 winter and increases to 3 in summer</t>
    </r>
  </si>
  <si>
    <r>
      <t>3</t>
    </r>
    <r>
      <rPr>
        <sz val="10"/>
        <rFont val="Arial"/>
        <family val="0"/>
      </rPr>
      <t>From www.agcom.purdue.edu/AgCom/Pubs/AE/AE-88.html</t>
    </r>
  </si>
  <si>
    <r>
      <t>Ave solar rad/hr (40 deg lat.)</t>
    </r>
    <r>
      <rPr>
        <vertAlign val="superscript"/>
        <sz val="10"/>
        <rFont val="Arial"/>
        <family val="2"/>
      </rPr>
      <t>3</t>
    </r>
  </si>
  <si>
    <r>
      <t>D</t>
    </r>
    <r>
      <rPr>
        <sz val="10"/>
        <rFont val="Arial"/>
        <family val="2"/>
      </rPr>
      <t>T with solar contribution</t>
    </r>
  </si>
  <si>
    <t>a</t>
  </si>
  <si>
    <t>I</t>
  </si>
  <si>
    <t>U</t>
  </si>
  <si>
    <r>
      <t>t</t>
    </r>
    <r>
      <rPr>
        <vertAlign val="subscript"/>
        <sz val="10"/>
        <rFont val="Arial"/>
        <family val="2"/>
      </rPr>
      <t>i</t>
    </r>
  </si>
  <si>
    <r>
      <t>t</t>
    </r>
    <r>
      <rPr>
        <vertAlign val="subscript"/>
        <sz val="10"/>
        <rFont val="Arial"/>
        <family val="2"/>
      </rPr>
      <t>o</t>
    </r>
  </si>
  <si>
    <r>
      <t>t</t>
    </r>
    <r>
      <rPr>
        <vertAlign val="subscript"/>
        <sz val="10"/>
        <rFont val="Arial"/>
        <family val="2"/>
      </rPr>
      <t>s</t>
    </r>
  </si>
  <si>
    <r>
      <t>h</t>
    </r>
    <r>
      <rPr>
        <vertAlign val="subscript"/>
        <sz val="10"/>
        <rFont val="Arial"/>
        <family val="2"/>
      </rPr>
      <t>o</t>
    </r>
  </si>
  <si>
    <t>e</t>
  </si>
  <si>
    <r>
      <t>D</t>
    </r>
    <r>
      <rPr>
        <sz val="10"/>
        <rFont val="Arial"/>
        <family val="2"/>
      </rPr>
      <t>R</t>
    </r>
  </si>
  <si>
    <t>coefficient of heat transmission of surface</t>
  </si>
  <si>
    <t>interior temperature of enclosure</t>
  </si>
  <si>
    <t>exterior ambient temperature</t>
  </si>
  <si>
    <t>coefficient of heat transmission by convection (function of wind speed)</t>
  </si>
  <si>
    <t>emittance of surface (ability to reject heat by radiation)</t>
  </si>
  <si>
    <t>net infrared radiation back to ambient</t>
  </si>
  <si>
    <t>black</t>
  </si>
  <si>
    <r>
      <t>Differential air temp (</t>
    </r>
    <r>
      <rPr>
        <sz val="10"/>
        <rFont val="Symbol"/>
        <family val="1"/>
      </rPr>
      <t>D</t>
    </r>
    <r>
      <rPr>
        <sz val="10"/>
        <rFont val="Arial"/>
        <family val="2"/>
      </rPr>
      <t>T)</t>
    </r>
  </si>
  <si>
    <t>temperature of surface</t>
  </si>
  <si>
    <r>
      <t>O</t>
    </r>
    <r>
      <rPr>
        <sz val="10"/>
        <rFont val="Arial"/>
        <family val="2"/>
      </rPr>
      <t>F</t>
    </r>
  </si>
  <si>
    <r>
      <t>BTU/hr ft</t>
    </r>
    <r>
      <rPr>
        <vertAlign val="superscript"/>
        <sz val="10"/>
        <rFont val="Arial"/>
        <family val="2"/>
      </rPr>
      <t>2</t>
    </r>
  </si>
  <si>
    <t>&lt;unitless&gt;</t>
  </si>
  <si>
    <t>radiation incident to surface (roof)</t>
  </si>
  <si>
    <t>Hour of Day</t>
  </si>
  <si>
    <t>Hour</t>
  </si>
  <si>
    <t>Watts</t>
  </si>
  <si>
    <t>Normalized</t>
  </si>
  <si>
    <t>Peak:</t>
  </si>
  <si>
    <t>(12:noon, 0 or 24:midnight)</t>
  </si>
  <si>
    <t>Enclosure</t>
  </si>
  <si>
    <t>surf. Temp.</t>
  </si>
  <si>
    <t>Surface Color</t>
  </si>
  <si>
    <t>absorption of surface for solar radiation</t>
  </si>
  <si>
    <t>Absorption</t>
  </si>
  <si>
    <r>
      <t>a</t>
    </r>
    <r>
      <rPr>
        <sz val="10"/>
        <rFont val="Arial"/>
        <family val="0"/>
      </rPr>
      <t xml:space="preserve"> - Solar</t>
    </r>
  </si>
  <si>
    <t>Step:</t>
  </si>
  <si>
    <t>2. Calculated A/C size is shown in yellow field.</t>
  </si>
  <si>
    <t>1. Enter required data into white fields.</t>
  </si>
  <si>
    <t xml:space="preserve">    either manually, or press the button here:</t>
  </si>
  <si>
    <t>114</t>
  </si>
  <si>
    <t>0</t>
  </si>
  <si>
    <t>Heat Transfer Calculator Details</t>
  </si>
  <si>
    <t>20</t>
  </si>
  <si>
    <t>Roof</t>
  </si>
  <si>
    <t>Front</t>
  </si>
  <si>
    <t>Left Side</t>
  </si>
  <si>
    <t>Right Side</t>
  </si>
  <si>
    <t>Back</t>
  </si>
  <si>
    <t>Assume 'front' (largest face) faces south.  As a result, even if this enclosure were stand-alone, the back surface</t>
  </si>
  <si>
    <t>would not receive any solar radiation during the longest day of the year.</t>
  </si>
  <si>
    <t>left</t>
  </si>
  <si>
    <t>right</t>
  </si>
  <si>
    <t>Allow reflections?</t>
  </si>
  <si>
    <t>3. Make sure you check or uncheck the "Allow reflections"</t>
  </si>
  <si>
    <t xml:space="preserve">    checkbox in cell H33 as appropriate.</t>
  </si>
  <si>
    <t xml:space="preserve">    Click on the Help button for an explanation of this checkbox.</t>
  </si>
  <si>
    <t>Internally generator losses</t>
  </si>
  <si>
    <t>70</t>
  </si>
  <si>
    <t>42</t>
  </si>
  <si>
    <r>
      <t>BTU/hr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</t>
    </r>
  </si>
  <si>
    <t>.05</t>
  </si>
  <si>
    <t>104</t>
  </si>
  <si>
    <t>2</t>
  </si>
  <si>
    <t>(all solar energy absorbed)</t>
  </si>
  <si>
    <t>Worst Case Calculations</t>
  </si>
  <si>
    <t>color:</t>
  </si>
  <si>
    <t>(worst case surface temperature rise)</t>
  </si>
  <si>
    <t>© Eaton Corporation</t>
  </si>
  <si>
    <t>Revision 0.0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</si>
</sst>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%"/>
  </numFmts>
  <fonts count="6">
    <font>
      <sz val="10"/>
      <name val="Arial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sz val="10"/>
      <name val="Symbol"/>
      <family val="1"/>
    </font>
    <font>
      <vertAlign val="subscript"/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ont="1" applyFill="1" applyAlignment="1">
      <alignment/>
    </xf>
    <xf numFmtId="0" fontId="2" fillId="2" borderId="0" xfId="20" applyFill="1">
      <alignment/>
      <protection/>
    </xf>
    <xf numFmtId="0" fontId="0" fillId="3" borderId="1" xfId="0" applyFill="1" applyBorder="1" applyAlignment="1">
      <alignment/>
    </xf>
    <xf numFmtId="0" fontId="3" fillId="2" borderId="0" xfId="0" applyFont="1" applyFill="1" applyAlignment="1">
      <alignment/>
    </xf>
    <xf numFmtId="168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169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left"/>
    </xf>
    <xf numFmtId="1" fontId="0" fillId="3" borderId="1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9" fontId="0" fillId="0" borderId="0" xfId="18" applyFont="1" applyAlignment="1">
      <alignment horizontal="righ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1" fontId="0" fillId="4" borderId="0" xfId="0" applyNumberFormat="1" applyFill="1" applyAlignment="1">
      <alignment/>
    </xf>
    <xf numFmtId="0" fontId="0" fillId="0" borderId="0" xfId="0" applyFont="1" applyAlignment="1">
      <alignment horizontal="center"/>
    </xf>
    <xf numFmtId="1" fontId="0" fillId="0" borderId="0" xfId="18" applyNumberFormat="1" applyFont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left"/>
    </xf>
    <xf numFmtId="1" fontId="0" fillId="0" borderId="0" xfId="0" applyNumberFormat="1" applyFont="1" applyAlignment="1">
      <alignment/>
    </xf>
    <xf numFmtId="0" fontId="5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 horizontal="right"/>
    </xf>
    <xf numFmtId="1" fontId="0" fillId="2" borderId="0" xfId="0" applyNumberFormat="1" applyFill="1" applyBorder="1" applyAlignment="1">
      <alignment/>
    </xf>
    <xf numFmtId="169" fontId="0" fillId="2" borderId="0" xfId="0" applyNumberFormat="1" applyFill="1" applyBorder="1" applyAlignment="1">
      <alignment/>
    </xf>
    <xf numFmtId="0" fontId="2" fillId="2" borderId="0" xfId="20" applyFill="1" applyBorder="1">
      <alignment/>
      <protection/>
    </xf>
    <xf numFmtId="0" fontId="2" fillId="2" borderId="0" xfId="0" applyFont="1" applyFill="1" applyBorder="1" applyAlignment="1">
      <alignment/>
    </xf>
    <xf numFmtId="168" fontId="0" fillId="2" borderId="0" xfId="0" applyNumberFormat="1" applyFill="1" applyBorder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urrency" xfId="16"/>
    <cellStyle name="Currency [0]" xfId="17"/>
    <cellStyle name="Percent" xfId="18"/>
    <cellStyle name="Subscript" xfId="19"/>
    <cellStyle name="Superscrip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Relationship Id="rId3" Type="http://schemas.openxmlformats.org/officeDocument/2006/relationships/image" Target="../media/image3.emf" /><Relationship Id="rId4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12.emf" /><Relationship Id="rId5" Type="http://schemas.openxmlformats.org/officeDocument/2006/relationships/image" Target="../media/image2.emf" /><Relationship Id="rId6" Type="http://schemas.openxmlformats.org/officeDocument/2006/relationships/image" Target="../media/image11.emf" /><Relationship Id="rId7" Type="http://schemas.openxmlformats.org/officeDocument/2006/relationships/image" Target="../media/image6.emf" /><Relationship Id="rId8" Type="http://schemas.openxmlformats.org/officeDocument/2006/relationships/image" Target="../media/image1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http://www.electronics-cooling.com/Resources/EC_Articles/September97/images/A1fig2a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</xdr:row>
      <xdr:rowOff>95250</xdr:rowOff>
    </xdr:from>
    <xdr:to>
      <xdr:col>6</xdr:col>
      <xdr:colOff>38100</xdr:colOff>
      <xdr:row>7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23850" y="581025"/>
          <a:ext cx="33718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 Press 'Enter Thermal Data' Button and answer questions
    regarding enclosure size, expected ambient temperature
    enclosure color, etc.</a:t>
          </a:r>
        </a:p>
      </xdr:txBody>
    </xdr:sp>
    <xdr:clientData/>
  </xdr:twoCellAnchor>
  <xdr:twoCellAnchor editAs="oneCell">
    <xdr:from>
      <xdr:col>0</xdr:col>
      <xdr:colOff>323850</xdr:colOff>
      <xdr:row>9</xdr:row>
      <xdr:rowOff>38100</xdr:rowOff>
    </xdr:from>
    <xdr:to>
      <xdr:col>2</xdr:col>
      <xdr:colOff>333375</xdr:colOff>
      <xdr:row>11</xdr:row>
      <xdr:rowOff>28575</xdr:rowOff>
    </xdr:to>
    <xdr:pic>
      <xdr:nvPicPr>
        <xdr:cNvPr id="2" name="cmdEnterDa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4954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447675</xdr:colOff>
      <xdr:row>9</xdr:row>
      <xdr:rowOff>38100</xdr:rowOff>
    </xdr:from>
    <xdr:to>
      <xdr:col>4</xdr:col>
      <xdr:colOff>457200</xdr:colOff>
      <xdr:row>11</xdr:row>
      <xdr:rowOff>28575</xdr:rowOff>
    </xdr:to>
    <xdr:pic>
      <xdr:nvPicPr>
        <xdr:cNvPr id="3" name="cmdHel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6875" y="14954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590550</xdr:colOff>
      <xdr:row>9</xdr:row>
      <xdr:rowOff>38100</xdr:rowOff>
    </xdr:from>
    <xdr:to>
      <xdr:col>6</xdr:col>
      <xdr:colOff>600075</xdr:colOff>
      <xdr:row>11</xdr:row>
      <xdr:rowOff>28575</xdr:rowOff>
    </xdr:to>
    <xdr:pic>
      <xdr:nvPicPr>
        <xdr:cNvPr id="4" name="cmdViewDetail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1495425"/>
          <a:ext cx="1228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19050</xdr:rowOff>
    </xdr:from>
    <xdr:to>
      <xdr:col>5</xdr:col>
      <xdr:colOff>304800</xdr:colOff>
      <xdr:row>3</xdr:row>
      <xdr:rowOff>76200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19050"/>
          <a:ext cx="33147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1</xdr:row>
      <xdr:rowOff>104775</xdr:rowOff>
    </xdr:from>
    <xdr:to>
      <xdr:col>5</xdr:col>
      <xdr:colOff>342900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448050" y="333375"/>
          <a:ext cx="1057275" cy="1047750"/>
        </a:xfrm>
        <a:prstGeom prst="cub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3</xdr:row>
      <xdr:rowOff>38100</xdr:rowOff>
    </xdr:from>
    <xdr:to>
      <xdr:col>3</xdr:col>
      <xdr:colOff>466725</xdr:colOff>
      <xdr:row>3</xdr:row>
      <xdr:rowOff>38100</xdr:rowOff>
    </xdr:to>
    <xdr:sp>
      <xdr:nvSpPr>
        <xdr:cNvPr id="2" name="Line 2"/>
        <xdr:cNvSpPr>
          <a:spLocks/>
        </xdr:cNvSpPr>
      </xdr:nvSpPr>
      <xdr:spPr>
        <a:xfrm flipH="1">
          <a:off x="3181350" y="5905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238125</xdr:colOff>
      <xdr:row>7</xdr:row>
      <xdr:rowOff>142875</xdr:rowOff>
    </xdr:from>
    <xdr:to>
      <xdr:col>3</xdr:col>
      <xdr:colOff>466725</xdr:colOff>
      <xdr:row>7</xdr:row>
      <xdr:rowOff>142875</xdr:rowOff>
    </xdr:to>
    <xdr:sp>
      <xdr:nvSpPr>
        <xdr:cNvPr id="3" name="Line 3"/>
        <xdr:cNvSpPr>
          <a:spLocks/>
        </xdr:cNvSpPr>
      </xdr:nvSpPr>
      <xdr:spPr>
        <a:xfrm flipH="1">
          <a:off x="3181350" y="1362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</xdr:row>
      <xdr:rowOff>38100</xdr:rowOff>
    </xdr:from>
    <xdr:to>
      <xdr:col>3</xdr:col>
      <xdr:colOff>352425</xdr:colOff>
      <xdr:row>5</xdr:row>
      <xdr:rowOff>38100</xdr:rowOff>
    </xdr:to>
    <xdr:sp>
      <xdr:nvSpPr>
        <xdr:cNvPr id="4" name="Line 4"/>
        <xdr:cNvSpPr>
          <a:spLocks/>
        </xdr:cNvSpPr>
      </xdr:nvSpPr>
      <xdr:spPr>
        <a:xfrm flipV="1">
          <a:off x="3295650" y="5905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47625</xdr:rowOff>
    </xdr:from>
    <xdr:to>
      <xdr:col>3</xdr:col>
      <xdr:colOff>342900</xdr:colOff>
      <xdr:row>7</xdr:row>
      <xdr:rowOff>142875</xdr:rowOff>
    </xdr:to>
    <xdr:sp>
      <xdr:nvSpPr>
        <xdr:cNvPr id="5" name="Line 5"/>
        <xdr:cNvSpPr>
          <a:spLocks/>
        </xdr:cNvSpPr>
      </xdr:nvSpPr>
      <xdr:spPr>
        <a:xfrm>
          <a:off x="3286125" y="1104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</xdr:row>
      <xdr:rowOff>28575</xdr:rowOff>
    </xdr:from>
    <xdr:to>
      <xdr:col>3</xdr:col>
      <xdr:colOff>457200</xdr:colOff>
      <xdr:row>6</xdr:row>
      <xdr:rowOff>28575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9048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495300</xdr:colOff>
      <xdr:row>8</xdr:row>
      <xdr:rowOff>47625</xdr:rowOff>
    </xdr:from>
    <xdr:to>
      <xdr:col>3</xdr:col>
      <xdr:colOff>495300</xdr:colOff>
      <xdr:row>9</xdr:row>
      <xdr:rowOff>85725</xdr:rowOff>
    </xdr:to>
    <xdr:sp>
      <xdr:nvSpPr>
        <xdr:cNvPr id="7" name="Line 7"/>
        <xdr:cNvSpPr>
          <a:spLocks/>
        </xdr:cNvSpPr>
      </xdr:nvSpPr>
      <xdr:spPr>
        <a:xfrm>
          <a:off x="3438525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47625</xdr:rowOff>
    </xdr:from>
    <xdr:to>
      <xdr:col>5</xdr:col>
      <xdr:colOff>76200</xdr:colOff>
      <xdr:row>9</xdr:row>
      <xdr:rowOff>85725</xdr:rowOff>
    </xdr:to>
    <xdr:sp>
      <xdr:nvSpPr>
        <xdr:cNvPr id="8" name="Line 8"/>
        <xdr:cNvSpPr>
          <a:spLocks/>
        </xdr:cNvSpPr>
      </xdr:nvSpPr>
      <xdr:spPr>
        <a:xfrm>
          <a:off x="4238625" y="14287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6</xdr:row>
      <xdr:rowOff>114300</xdr:rowOff>
    </xdr:from>
    <xdr:to>
      <xdr:col>5</xdr:col>
      <xdr:colOff>352425</xdr:colOff>
      <xdr:row>7</xdr:row>
      <xdr:rowOff>152400</xdr:rowOff>
    </xdr:to>
    <xdr:sp>
      <xdr:nvSpPr>
        <xdr:cNvPr id="9" name="Line 9"/>
        <xdr:cNvSpPr>
          <a:spLocks/>
        </xdr:cNvSpPr>
      </xdr:nvSpPr>
      <xdr:spPr>
        <a:xfrm>
          <a:off x="4514850" y="1171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76200</xdr:rowOff>
    </xdr:from>
    <xdr:to>
      <xdr:col>4</xdr:col>
      <xdr:colOff>361950</xdr:colOff>
      <xdr:row>9</xdr:row>
      <xdr:rowOff>95250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3733800" y="14573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</a:t>
          </a:r>
        </a:p>
      </xdr:txBody>
    </xdr:sp>
    <xdr:clientData/>
  </xdr:twoCellAnchor>
  <xdr:twoCellAnchor>
    <xdr:from>
      <xdr:col>5</xdr:col>
      <xdr:colOff>133350</xdr:colOff>
      <xdr:row>7</xdr:row>
      <xdr:rowOff>104775</xdr:rowOff>
    </xdr:from>
    <xdr:to>
      <xdr:col>5</xdr:col>
      <xdr:colOff>314325</xdr:colOff>
      <xdr:row>8</xdr:row>
      <xdr:rowOff>123825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295775" y="132397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400050</xdr:colOff>
      <xdr:row>8</xdr:row>
      <xdr:rowOff>152400</xdr:rowOff>
    </xdr:from>
    <xdr:to>
      <xdr:col>5</xdr:col>
      <xdr:colOff>85725</xdr:colOff>
      <xdr:row>8</xdr:row>
      <xdr:rowOff>152400</xdr:rowOff>
    </xdr:to>
    <xdr:sp>
      <xdr:nvSpPr>
        <xdr:cNvPr id="12" name="Line 13"/>
        <xdr:cNvSpPr>
          <a:spLocks/>
        </xdr:cNvSpPr>
      </xdr:nvSpPr>
      <xdr:spPr>
        <a:xfrm>
          <a:off x="3952875" y="15335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9</xdr:row>
      <xdr:rowOff>0</xdr:rowOff>
    </xdr:from>
    <xdr:to>
      <xdr:col>4</xdr:col>
      <xdr:colOff>104775</xdr:colOff>
      <xdr:row>9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3448050" y="15430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6</xdr:row>
      <xdr:rowOff>0</xdr:rowOff>
    </xdr:from>
    <xdr:to>
      <xdr:col>5</xdr:col>
      <xdr:colOff>542925</xdr:colOff>
      <xdr:row>7</xdr:row>
      <xdr:rowOff>57150</xdr:rowOff>
    </xdr:to>
    <xdr:sp>
      <xdr:nvSpPr>
        <xdr:cNvPr id="14" name="Line 16"/>
        <xdr:cNvSpPr>
          <a:spLocks/>
        </xdr:cNvSpPr>
      </xdr:nvSpPr>
      <xdr:spPr>
        <a:xfrm flipH="1">
          <a:off x="4524375" y="1057275"/>
          <a:ext cx="1809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</xdr:row>
      <xdr:rowOff>142875</xdr:rowOff>
    </xdr:from>
    <xdr:to>
      <xdr:col>4</xdr:col>
      <xdr:colOff>571500</xdr:colOff>
      <xdr:row>3</xdr:row>
      <xdr:rowOff>9525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3886200" y="37147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171450</xdr:colOff>
      <xdr:row>4</xdr:row>
      <xdr:rowOff>133350</xdr:rowOff>
    </xdr:from>
    <xdr:to>
      <xdr:col>4</xdr:col>
      <xdr:colOff>409575</xdr:colOff>
      <xdr:row>5</xdr:row>
      <xdr:rowOff>161925</xdr:rowOff>
    </xdr:to>
    <xdr:sp>
      <xdr:nvSpPr>
        <xdr:cNvPr id="16" name="TextBox 18"/>
        <xdr:cNvSpPr txBox="1">
          <a:spLocks noChangeArrowheads="1"/>
        </xdr:cNvSpPr>
      </xdr:nvSpPr>
      <xdr:spPr>
        <a:xfrm>
          <a:off x="3724275" y="84772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85725</xdr:colOff>
      <xdr:row>4</xdr:row>
      <xdr:rowOff>0</xdr:rowOff>
    </xdr:from>
    <xdr:to>
      <xdr:col>5</xdr:col>
      <xdr:colOff>323850</xdr:colOff>
      <xdr:row>5</xdr:row>
      <xdr:rowOff>28575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4248150" y="714375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6</xdr:col>
      <xdr:colOff>314325</xdr:colOff>
      <xdr:row>2</xdr:row>
      <xdr:rowOff>0</xdr:rowOff>
    </xdr:from>
    <xdr:to>
      <xdr:col>6</xdr:col>
      <xdr:colOff>600075</xdr:colOff>
      <xdr:row>3</xdr:row>
      <xdr:rowOff>38100</xdr:rowOff>
    </xdr:to>
    <xdr:sp>
      <xdr:nvSpPr>
        <xdr:cNvPr id="18" name="TextBox 20"/>
        <xdr:cNvSpPr txBox="1">
          <a:spLocks noChangeArrowheads="1"/>
        </xdr:cNvSpPr>
      </xdr:nvSpPr>
      <xdr:spPr>
        <a:xfrm>
          <a:off x="5086350" y="390525"/>
          <a:ext cx="285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381000</xdr:colOff>
      <xdr:row>1</xdr:row>
      <xdr:rowOff>142875</xdr:rowOff>
    </xdr:from>
    <xdr:to>
      <xdr:col>6</xdr:col>
      <xdr:colOff>333375</xdr:colOff>
      <xdr:row>2</xdr:row>
      <xdr:rowOff>19050</xdr:rowOff>
    </xdr:to>
    <xdr:sp>
      <xdr:nvSpPr>
        <xdr:cNvPr id="19" name="Arc 22"/>
        <xdr:cNvSpPr>
          <a:spLocks/>
        </xdr:cNvSpPr>
      </xdr:nvSpPr>
      <xdr:spPr>
        <a:xfrm>
          <a:off x="4543425" y="371475"/>
          <a:ext cx="561975" cy="38100"/>
        </a:xfrm>
        <a:prstGeom prst="arc">
          <a:avLst>
            <a:gd name="adj1" fmla="val -52263324"/>
            <a:gd name="adj2" fmla="val 260620"/>
            <a:gd name="adj3" fmla="val 49046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25</xdr:row>
      <xdr:rowOff>9525</xdr:rowOff>
    </xdr:from>
    <xdr:to>
      <xdr:col>1</xdr:col>
      <xdr:colOff>657225</xdr:colOff>
      <xdr:row>25</xdr:row>
      <xdr:rowOff>142875</xdr:rowOff>
    </xdr:to>
    <xdr:sp>
      <xdr:nvSpPr>
        <xdr:cNvPr id="20" name="Line 23"/>
        <xdr:cNvSpPr>
          <a:spLocks/>
        </xdr:cNvSpPr>
      </xdr:nvSpPr>
      <xdr:spPr>
        <a:xfrm>
          <a:off x="2286000" y="43815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85725</xdr:rowOff>
    </xdr:from>
    <xdr:to>
      <xdr:col>4</xdr:col>
      <xdr:colOff>342900</xdr:colOff>
      <xdr:row>26</xdr:row>
      <xdr:rowOff>85725</xdr:rowOff>
    </xdr:to>
    <xdr:sp>
      <xdr:nvSpPr>
        <xdr:cNvPr id="21" name="Line 24"/>
        <xdr:cNvSpPr>
          <a:spLocks/>
        </xdr:cNvSpPr>
      </xdr:nvSpPr>
      <xdr:spPr>
        <a:xfrm>
          <a:off x="2400300" y="4619625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25</xdr:row>
      <xdr:rowOff>9525</xdr:rowOff>
    </xdr:from>
    <xdr:to>
      <xdr:col>4</xdr:col>
      <xdr:colOff>342900</xdr:colOff>
      <xdr:row>26</xdr:row>
      <xdr:rowOff>95250</xdr:rowOff>
    </xdr:to>
    <xdr:sp>
      <xdr:nvSpPr>
        <xdr:cNvPr id="22" name="Line 25"/>
        <xdr:cNvSpPr>
          <a:spLocks/>
        </xdr:cNvSpPr>
      </xdr:nvSpPr>
      <xdr:spPr>
        <a:xfrm flipV="1">
          <a:off x="3895725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1076325</xdr:colOff>
      <xdr:row>10</xdr:row>
      <xdr:rowOff>104775</xdr:rowOff>
    </xdr:from>
    <xdr:to>
      <xdr:col>8</xdr:col>
      <xdr:colOff>1076325</xdr:colOff>
      <xdr:row>28</xdr:row>
      <xdr:rowOff>28575</xdr:rowOff>
    </xdr:to>
    <xdr:sp>
      <xdr:nvSpPr>
        <xdr:cNvPr id="23" name="Line 29"/>
        <xdr:cNvSpPr>
          <a:spLocks/>
        </xdr:cNvSpPr>
      </xdr:nvSpPr>
      <xdr:spPr>
        <a:xfrm flipV="1">
          <a:off x="7172325" y="1809750"/>
          <a:ext cx="0" cy="3114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10</xdr:row>
      <xdr:rowOff>95250</xdr:rowOff>
    </xdr:from>
    <xdr:to>
      <xdr:col>8</xdr:col>
      <xdr:colOff>1076325</xdr:colOff>
      <xdr:row>10</xdr:row>
      <xdr:rowOff>95250</xdr:rowOff>
    </xdr:to>
    <xdr:sp>
      <xdr:nvSpPr>
        <xdr:cNvPr id="24" name="Line 30"/>
        <xdr:cNvSpPr>
          <a:spLocks/>
        </xdr:cNvSpPr>
      </xdr:nvSpPr>
      <xdr:spPr>
        <a:xfrm flipH="1">
          <a:off x="5857875" y="1800225"/>
          <a:ext cx="1314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476250</xdr:colOff>
      <xdr:row>25</xdr:row>
      <xdr:rowOff>57150</xdr:rowOff>
    </xdr:from>
    <xdr:to>
      <xdr:col>4</xdr:col>
      <xdr:colOff>476250</xdr:colOff>
      <xdr:row>26</xdr:row>
      <xdr:rowOff>152400</xdr:rowOff>
    </xdr:to>
    <xdr:sp>
      <xdr:nvSpPr>
        <xdr:cNvPr id="25" name="Line 31"/>
        <xdr:cNvSpPr>
          <a:spLocks/>
        </xdr:cNvSpPr>
      </xdr:nvSpPr>
      <xdr:spPr>
        <a:xfrm>
          <a:off x="4029075" y="44291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26</xdr:row>
      <xdr:rowOff>161925</xdr:rowOff>
    </xdr:from>
    <xdr:to>
      <xdr:col>4</xdr:col>
      <xdr:colOff>476250</xdr:colOff>
      <xdr:row>27</xdr:row>
      <xdr:rowOff>47625</xdr:rowOff>
    </xdr:to>
    <xdr:sp>
      <xdr:nvSpPr>
        <xdr:cNvPr id="26" name="Line 32"/>
        <xdr:cNvSpPr>
          <a:spLocks/>
        </xdr:cNvSpPr>
      </xdr:nvSpPr>
      <xdr:spPr>
        <a:xfrm flipH="1">
          <a:off x="2543175" y="4695825"/>
          <a:ext cx="14859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27</xdr:row>
      <xdr:rowOff>123825</xdr:rowOff>
    </xdr:from>
    <xdr:to>
      <xdr:col>4</xdr:col>
      <xdr:colOff>76200</xdr:colOff>
      <xdr:row>27</xdr:row>
      <xdr:rowOff>123825</xdr:rowOff>
    </xdr:to>
    <xdr:sp>
      <xdr:nvSpPr>
        <xdr:cNvPr id="27" name="Line 33"/>
        <xdr:cNvSpPr>
          <a:spLocks/>
        </xdr:cNvSpPr>
      </xdr:nvSpPr>
      <xdr:spPr>
        <a:xfrm>
          <a:off x="2628900" y="483870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8</xdr:col>
      <xdr:colOff>9525</xdr:colOff>
      <xdr:row>15</xdr:row>
      <xdr:rowOff>0</xdr:rowOff>
    </xdr:from>
    <xdr:to>
      <xdr:col>8</xdr:col>
      <xdr:colOff>1000125</xdr:colOff>
      <xdr:row>16</xdr:row>
      <xdr:rowOff>0</xdr:rowOff>
    </xdr:to>
    <xdr:pic>
      <xdr:nvPicPr>
        <xdr:cNvPr id="28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2533650"/>
          <a:ext cx="9906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16</xdr:row>
      <xdr:rowOff>0</xdr:rowOff>
    </xdr:from>
    <xdr:to>
      <xdr:col>8</xdr:col>
      <xdr:colOff>1000125</xdr:colOff>
      <xdr:row>17</xdr:row>
      <xdr:rowOff>9525</xdr:rowOff>
    </xdr:to>
    <xdr:pic>
      <xdr:nvPicPr>
        <xdr:cNvPr id="29" name="Combo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724150"/>
          <a:ext cx="990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17</xdr:row>
      <xdr:rowOff>9525</xdr:rowOff>
    </xdr:from>
    <xdr:to>
      <xdr:col>8</xdr:col>
      <xdr:colOff>1000125</xdr:colOff>
      <xdr:row>18</xdr:row>
      <xdr:rowOff>28575</xdr:rowOff>
    </xdr:to>
    <xdr:pic>
      <xdr:nvPicPr>
        <xdr:cNvPr id="30" name="ComboBox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2924175"/>
          <a:ext cx="990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18</xdr:row>
      <xdr:rowOff>19050</xdr:rowOff>
    </xdr:from>
    <xdr:to>
      <xdr:col>8</xdr:col>
      <xdr:colOff>1000125</xdr:colOff>
      <xdr:row>19</xdr:row>
      <xdr:rowOff>28575</xdr:rowOff>
    </xdr:to>
    <xdr:pic>
      <xdr:nvPicPr>
        <xdr:cNvPr id="31" name="ComboBox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05525" y="3124200"/>
          <a:ext cx="990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19</xdr:row>
      <xdr:rowOff>19050</xdr:rowOff>
    </xdr:from>
    <xdr:to>
      <xdr:col>8</xdr:col>
      <xdr:colOff>1000125</xdr:colOff>
      <xdr:row>20</xdr:row>
      <xdr:rowOff>28575</xdr:rowOff>
    </xdr:to>
    <xdr:pic>
      <xdr:nvPicPr>
        <xdr:cNvPr id="32" name="ComboBox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05525" y="3314700"/>
          <a:ext cx="9906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10</xdr:row>
      <xdr:rowOff>104775</xdr:rowOff>
    </xdr:from>
    <xdr:to>
      <xdr:col>7</xdr:col>
      <xdr:colOff>476250</xdr:colOff>
      <xdr:row>13</xdr:row>
      <xdr:rowOff>19050</xdr:rowOff>
    </xdr:to>
    <xdr:sp>
      <xdr:nvSpPr>
        <xdr:cNvPr id="33" name="Line 39"/>
        <xdr:cNvSpPr>
          <a:spLocks/>
        </xdr:cNvSpPr>
      </xdr:nvSpPr>
      <xdr:spPr>
        <a:xfrm>
          <a:off x="5857875" y="18097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1</xdr:row>
      <xdr:rowOff>9525</xdr:rowOff>
    </xdr:from>
    <xdr:to>
      <xdr:col>11</xdr:col>
      <xdr:colOff>476250</xdr:colOff>
      <xdr:row>2</xdr:row>
      <xdr:rowOff>114300</xdr:rowOff>
    </xdr:to>
    <xdr:pic>
      <xdr:nvPicPr>
        <xdr:cNvPr id="34" name="cmdEnterDat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67650" y="23812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457200</xdr:colOff>
      <xdr:row>28</xdr:row>
      <xdr:rowOff>28575</xdr:rowOff>
    </xdr:from>
    <xdr:to>
      <xdr:col>4</xdr:col>
      <xdr:colOff>457200</xdr:colOff>
      <xdr:row>28</xdr:row>
      <xdr:rowOff>114300</xdr:rowOff>
    </xdr:to>
    <xdr:sp>
      <xdr:nvSpPr>
        <xdr:cNvPr id="35" name="Line 41"/>
        <xdr:cNvSpPr>
          <a:spLocks/>
        </xdr:cNvSpPr>
      </xdr:nvSpPr>
      <xdr:spPr>
        <a:xfrm>
          <a:off x="4010025" y="49244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28</xdr:row>
      <xdr:rowOff>123825</xdr:rowOff>
    </xdr:from>
    <xdr:to>
      <xdr:col>5</xdr:col>
      <xdr:colOff>247650</xdr:colOff>
      <xdr:row>28</xdr:row>
      <xdr:rowOff>123825</xdr:rowOff>
    </xdr:to>
    <xdr:sp>
      <xdr:nvSpPr>
        <xdr:cNvPr id="36" name="Line 42"/>
        <xdr:cNvSpPr>
          <a:spLocks/>
        </xdr:cNvSpPr>
      </xdr:nvSpPr>
      <xdr:spPr>
        <a:xfrm>
          <a:off x="4019550" y="50196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28</xdr:row>
      <xdr:rowOff>38100</xdr:rowOff>
    </xdr:from>
    <xdr:to>
      <xdr:col>7</xdr:col>
      <xdr:colOff>666750</xdr:colOff>
      <xdr:row>30</xdr:row>
      <xdr:rowOff>85725</xdr:rowOff>
    </xdr:to>
    <xdr:sp>
      <xdr:nvSpPr>
        <xdr:cNvPr id="37" name="Line 49"/>
        <xdr:cNvSpPr>
          <a:spLocks/>
        </xdr:cNvSpPr>
      </xdr:nvSpPr>
      <xdr:spPr>
        <a:xfrm flipV="1">
          <a:off x="6048375" y="49339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666750</xdr:colOff>
      <xdr:row>28</xdr:row>
      <xdr:rowOff>38100</xdr:rowOff>
    </xdr:from>
    <xdr:to>
      <xdr:col>8</xdr:col>
      <xdr:colOff>1076325</xdr:colOff>
      <xdr:row>28</xdr:row>
      <xdr:rowOff>38100</xdr:rowOff>
    </xdr:to>
    <xdr:sp>
      <xdr:nvSpPr>
        <xdr:cNvPr id="38" name="Line 50"/>
        <xdr:cNvSpPr>
          <a:spLocks/>
        </xdr:cNvSpPr>
      </xdr:nvSpPr>
      <xdr:spPr>
        <a:xfrm>
          <a:off x="6048375" y="49339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30</xdr:row>
      <xdr:rowOff>95250</xdr:rowOff>
    </xdr:from>
    <xdr:to>
      <xdr:col>7</xdr:col>
      <xdr:colOff>666750</xdr:colOff>
      <xdr:row>30</xdr:row>
      <xdr:rowOff>95250</xdr:rowOff>
    </xdr:to>
    <xdr:sp>
      <xdr:nvSpPr>
        <xdr:cNvPr id="39" name="Line 53"/>
        <xdr:cNvSpPr>
          <a:spLocks/>
        </xdr:cNvSpPr>
      </xdr:nvSpPr>
      <xdr:spPr>
        <a:xfrm flipH="1">
          <a:off x="5457825" y="53149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28575</xdr:rowOff>
    </xdr:from>
    <xdr:to>
      <xdr:col>6</xdr:col>
      <xdr:colOff>514350</xdr:colOff>
      <xdr:row>32</xdr:row>
      <xdr:rowOff>123825</xdr:rowOff>
    </xdr:to>
    <xdr:sp>
      <xdr:nvSpPr>
        <xdr:cNvPr id="40" name="AutoShape 54"/>
        <xdr:cNvSpPr>
          <a:spLocks/>
        </xdr:cNvSpPr>
      </xdr:nvSpPr>
      <xdr:spPr>
        <a:xfrm>
          <a:off x="5210175" y="4924425"/>
          <a:ext cx="76200" cy="800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447675</xdr:colOff>
      <xdr:row>32</xdr:row>
      <xdr:rowOff>28575</xdr:rowOff>
    </xdr:from>
    <xdr:to>
      <xdr:col>7</xdr:col>
      <xdr:colOff>590550</xdr:colOff>
      <xdr:row>32</xdr:row>
      <xdr:rowOff>152400</xdr:rowOff>
    </xdr:to>
    <xdr:pic>
      <xdr:nvPicPr>
        <xdr:cNvPr id="41" name="CheckBox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29300" y="5629275"/>
          <a:ext cx="14287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7</xdr:row>
      <xdr:rowOff>66675</xdr:rowOff>
    </xdr:from>
    <xdr:to>
      <xdr:col>8</xdr:col>
      <xdr:colOff>304800</xdr:colOff>
      <xdr:row>9</xdr:row>
      <xdr:rowOff>9525</xdr:rowOff>
    </xdr:to>
    <xdr:pic>
      <xdr:nvPicPr>
        <xdr:cNvPr id="42" name="cmdHel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62600" y="128587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3</xdr:row>
      <xdr:rowOff>66675</xdr:rowOff>
    </xdr:from>
    <xdr:to>
      <xdr:col>14</xdr:col>
      <xdr:colOff>571500</xdr:colOff>
      <xdr:row>22</xdr:row>
      <xdr:rowOff>114300</xdr:rowOff>
    </xdr:to>
    <xdr:pic>
      <xdr:nvPicPr>
        <xdr:cNvPr id="1" name="Picture 1" descr="{short description of image}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991100" y="552450"/>
          <a:ext cx="4762500" cy="3124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0:A21"/>
  <sheetViews>
    <sheetView showGridLines="0" tabSelected="1" workbookViewId="0" topLeftCell="A1">
      <selection activeCell="B11" sqref="B11"/>
    </sheetView>
  </sheetViews>
  <sheetFormatPr defaultColWidth="9.140625" defaultRowHeight="12.75"/>
  <sheetData>
    <row r="20" ht="12.75">
      <c r="A20" t="s">
        <v>114</v>
      </c>
    </row>
    <row r="21" ht="12.75">
      <c r="A21" t="s">
        <v>115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87"/>
  <sheetViews>
    <sheetView workbookViewId="0" topLeftCell="A1">
      <selection activeCell="H17" sqref="H17"/>
    </sheetView>
  </sheetViews>
  <sheetFormatPr defaultColWidth="9.140625" defaultRowHeight="12.75"/>
  <cols>
    <col min="1" max="1" width="24.421875" style="1" customWidth="1"/>
    <col min="2" max="2" width="10.57421875" style="1" bestFit="1" customWidth="1"/>
    <col min="3" max="7" width="9.140625" style="1" customWidth="1"/>
    <col min="8" max="8" width="10.7109375" style="1" bestFit="1" customWidth="1"/>
    <col min="9" max="9" width="16.14062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8" ht="18">
      <c r="A1" s="2" t="s">
        <v>88</v>
      </c>
      <c r="H1" s="1" t="s">
        <v>82</v>
      </c>
    </row>
    <row r="2" spans="1:8" ht="12.75">
      <c r="A2" s="1" t="s">
        <v>0</v>
      </c>
      <c r="H2" s="1" t="s">
        <v>84</v>
      </c>
    </row>
    <row r="3" spans="1:8" ht="12.75">
      <c r="A3" s="1" t="s">
        <v>3</v>
      </c>
      <c r="B3" s="6" t="s">
        <v>104</v>
      </c>
      <c r="C3" s="1" t="s">
        <v>6</v>
      </c>
      <c r="H3" s="1" t="s">
        <v>85</v>
      </c>
    </row>
    <row r="4" spans="1:8" ht="12.75">
      <c r="A4" s="1" t="s">
        <v>4</v>
      </c>
      <c r="B4" s="6" t="s">
        <v>105</v>
      </c>
      <c r="C4" s="1" t="s">
        <v>6</v>
      </c>
      <c r="H4" s="1" t="s">
        <v>83</v>
      </c>
    </row>
    <row r="5" spans="1:8" ht="12.75">
      <c r="A5" s="1" t="s">
        <v>5</v>
      </c>
      <c r="B5" s="6" t="s">
        <v>89</v>
      </c>
      <c r="C5" s="1" t="s">
        <v>6</v>
      </c>
      <c r="H5" s="1" t="s">
        <v>100</v>
      </c>
    </row>
    <row r="6" spans="1:8" ht="14.25">
      <c r="A6" s="1" t="s">
        <v>2</v>
      </c>
      <c r="B6" s="9">
        <f>((2*(B3*B4))+(2*(B3*B5))+(B4*B5))/144</f>
        <v>66.11111111111111</v>
      </c>
      <c r="C6" s="1" t="s">
        <v>7</v>
      </c>
      <c r="H6" s="1" t="s">
        <v>101</v>
      </c>
    </row>
    <row r="7" ht="12.75">
      <c r="H7" s="1" t="s">
        <v>102</v>
      </c>
    </row>
    <row r="8" spans="1:2" ht="12.75">
      <c r="A8" s="1" t="s">
        <v>8</v>
      </c>
      <c r="B8" s="6" t="s">
        <v>108</v>
      </c>
    </row>
    <row r="9" spans="1:2" ht="12.75">
      <c r="A9" s="1" t="s">
        <v>9</v>
      </c>
      <c r="B9" s="6" t="s">
        <v>86</v>
      </c>
    </row>
    <row r="10" spans="1:9" ht="12.75">
      <c r="A10" s="1" t="s">
        <v>64</v>
      </c>
      <c r="B10" s="1">
        <f>B9-B8</f>
        <v>10</v>
      </c>
      <c r="C10" s="1" t="s">
        <v>10</v>
      </c>
      <c r="I10" s="7"/>
    </row>
    <row r="11" spans="1:3" ht="12.75">
      <c r="A11" s="7" t="s">
        <v>47</v>
      </c>
      <c r="C11" s="1" t="s">
        <v>10</v>
      </c>
    </row>
    <row r="12" spans="1:3" ht="12.75">
      <c r="A12" s="1" t="s">
        <v>103</v>
      </c>
      <c r="B12" s="6" t="s">
        <v>107</v>
      </c>
      <c r="C12" s="1" t="s">
        <v>30</v>
      </c>
    </row>
    <row r="14" spans="2:10" ht="12.75">
      <c r="B14" s="3" t="s">
        <v>24</v>
      </c>
      <c r="C14" s="3" t="s">
        <v>25</v>
      </c>
      <c r="D14" s="1" t="s">
        <v>23</v>
      </c>
      <c r="E14" s="1" t="s">
        <v>23</v>
      </c>
      <c r="F14" s="1" t="s">
        <v>29</v>
      </c>
      <c r="G14" s="3" t="s">
        <v>41</v>
      </c>
      <c r="H14" s="3" t="s">
        <v>76</v>
      </c>
      <c r="J14" s="19" t="s">
        <v>81</v>
      </c>
    </row>
    <row r="15" spans="1:10" ht="14.25">
      <c r="A15" s="1" t="s">
        <v>15</v>
      </c>
      <c r="B15" s="3" t="s">
        <v>1</v>
      </c>
      <c r="C15" s="3" t="s">
        <v>26</v>
      </c>
      <c r="D15" s="1" t="s">
        <v>27</v>
      </c>
      <c r="E15" s="1" t="s">
        <v>26</v>
      </c>
      <c r="F15" s="1" t="s">
        <v>32</v>
      </c>
      <c r="G15" s="3" t="s">
        <v>42</v>
      </c>
      <c r="H15" s="3" t="s">
        <v>77</v>
      </c>
      <c r="I15" s="13" t="s">
        <v>78</v>
      </c>
      <c r="J15" s="18" t="s">
        <v>80</v>
      </c>
    </row>
    <row r="16" spans="1:10" ht="15" customHeight="1">
      <c r="A16" s="3" t="s">
        <v>16</v>
      </c>
      <c r="B16" s="9">
        <f>$B$4*$B$5/144</f>
        <v>5.833333333333333</v>
      </c>
      <c r="C16" s="6" t="s">
        <v>109</v>
      </c>
      <c r="D16" s="1">
        <v>0.123</v>
      </c>
      <c r="E16" s="1">
        <f>D16/$J$32</f>
        <v>0.0003912213740458016</v>
      </c>
      <c r="F16" s="1">
        <f>C16+E16+0.67</f>
        <v>2.6703912213740457</v>
      </c>
      <c r="G16" s="11">
        <f>B16*($H16-$B$8)/F16</f>
        <v>19.417324112221856</v>
      </c>
      <c r="H16" s="10">
        <f>((J16*F29*$G$37)+($G$38*$B$8)+($G$41*$B$9)-($G$42*$G$43))/($G$38+$G$41)</f>
        <v>112.88888888888889</v>
      </c>
      <c r="I16" s="13"/>
      <c r="J16" s="1">
        <v>0</v>
      </c>
    </row>
    <row r="17" spans="1:10" ht="15" customHeight="1">
      <c r="A17" s="3" t="s">
        <v>17</v>
      </c>
      <c r="B17" s="9">
        <f>$B$3*$B$4/144</f>
        <v>20.416666666666668</v>
      </c>
      <c r="C17" s="6" t="s">
        <v>87</v>
      </c>
      <c r="D17" s="1">
        <v>0.123</v>
      </c>
      <c r="E17" s="1">
        <f>D17/$J$32</f>
        <v>0.0003912213740458016</v>
      </c>
      <c r="F17" s="1">
        <f>C17+E17+0.67</f>
        <v>0.6703912213740458</v>
      </c>
      <c r="G17" s="11">
        <f>B17*($H17-$B$8)/F17</f>
        <v>270.70981196548746</v>
      </c>
      <c r="H17" s="10">
        <f>((J17*F30*$G$37)+($G$38*$B$8)+($G$41*$B$9)-($G$42*$G$43))/($G$38+$G$41)</f>
        <v>112.88888888888889</v>
      </c>
      <c r="J17" s="1">
        <v>0</v>
      </c>
    </row>
    <row r="18" spans="1:10" ht="15" customHeight="1">
      <c r="A18" s="3" t="s">
        <v>18</v>
      </c>
      <c r="B18" s="9">
        <f>$B$3*$B$5/144</f>
        <v>9.722222222222221</v>
      </c>
      <c r="C18" s="6" t="s">
        <v>87</v>
      </c>
      <c r="D18" s="1">
        <v>0.123</v>
      </c>
      <c r="E18" s="1">
        <f>D18/$J$32</f>
        <v>0.0003912213740458016</v>
      </c>
      <c r="F18" s="1">
        <f>C18+E18+0.67</f>
        <v>0.6703912213740458</v>
      </c>
      <c r="G18" s="11">
        <f>B18*($H18-$B$8)/F18</f>
        <v>128.90943426927973</v>
      </c>
      <c r="H18" s="10">
        <f>((J18*F31*$G$37)+($G$38*$B$8)+($G$41*$B$9)-($G$42*$G$43))/($G$38+$G$41)</f>
        <v>112.88888888888889</v>
      </c>
      <c r="I18" s="5"/>
      <c r="J18" s="1">
        <v>0</v>
      </c>
    </row>
    <row r="19" spans="1:10" ht="15" customHeight="1">
      <c r="A19" s="3" t="s">
        <v>19</v>
      </c>
      <c r="B19" s="9">
        <f>$B$3*$B$5/144</f>
        <v>9.722222222222221</v>
      </c>
      <c r="C19" s="6" t="s">
        <v>87</v>
      </c>
      <c r="D19" s="1">
        <v>0.123</v>
      </c>
      <c r="E19" s="1">
        <f>D19/$J$32</f>
        <v>0.0003912213740458016</v>
      </c>
      <c r="F19" s="1">
        <f>C19+E19+0.67</f>
        <v>0.6703912213740458</v>
      </c>
      <c r="G19" s="11">
        <f>B19*($H19-$B$8)/F19</f>
        <v>128.90943426927973</v>
      </c>
      <c r="H19" s="10">
        <f>((J19*F32*$G$37)+($G$38*$B$8)+($G$41*$B$9)-($G$42*$G$43))/($G$38+$G$41)</f>
        <v>112.88888888888889</v>
      </c>
      <c r="J19" s="1">
        <v>0</v>
      </c>
    </row>
    <row r="20" spans="1:11" ht="15" customHeight="1">
      <c r="A20" s="3" t="s">
        <v>20</v>
      </c>
      <c r="B20" s="9">
        <f>$B$3*$B$4/144</f>
        <v>20.416666666666668</v>
      </c>
      <c r="C20" s="6" t="s">
        <v>87</v>
      </c>
      <c r="D20" s="1">
        <v>0.123</v>
      </c>
      <c r="E20" s="1">
        <f>D20/$J$32</f>
        <v>0.0003912213740458016</v>
      </c>
      <c r="F20" s="1">
        <f>C20+E20+0.67</f>
        <v>0.6703912213740458</v>
      </c>
      <c r="G20" s="11">
        <f>B20*($H20-$B$8)/F20</f>
        <v>270.70981196548746</v>
      </c>
      <c r="H20" s="10">
        <f>((J20*K33*$G$37)+($G$38*$B$8)+($G$41*$B$9)-($G$42*$G$43))/($G$38+$G$41)</f>
        <v>112.88888888888889</v>
      </c>
      <c r="J20" s="1">
        <v>0</v>
      </c>
      <c r="K20" s="23"/>
    </row>
    <row r="21" spans="2:8" ht="12.75">
      <c r="B21" s="9">
        <f>SUM(B16:B20)</f>
        <v>66.11111111111111</v>
      </c>
      <c r="C21" s="1" t="s">
        <v>28</v>
      </c>
      <c r="G21" s="20">
        <f>G22*3412</f>
        <v>989.2558165817561</v>
      </c>
      <c r="H21" s="1" t="s">
        <v>31</v>
      </c>
    </row>
    <row r="22" spans="1:8" ht="14.25">
      <c r="A22" s="12" t="s">
        <v>33</v>
      </c>
      <c r="G22" s="8">
        <f>(SUM(G16:G20)/3412)+B12</f>
        <v>0.2899342955984045</v>
      </c>
      <c r="H22" s="1" t="s">
        <v>30</v>
      </c>
    </row>
    <row r="23" spans="1:7" ht="14.25">
      <c r="A23" s="12"/>
      <c r="G23" s="8"/>
    </row>
    <row r="24" spans="1:3" ht="14.25">
      <c r="A24" s="1" t="s">
        <v>37</v>
      </c>
      <c r="B24" s="1">
        <v>2325</v>
      </c>
      <c r="C24" s="1" t="s">
        <v>35</v>
      </c>
    </row>
    <row r="25" spans="1:6" ht="14.25">
      <c r="A25" s="1" t="s">
        <v>46</v>
      </c>
      <c r="B25" s="1">
        <f>B24/24</f>
        <v>96.875</v>
      </c>
      <c r="C25" s="1" t="s">
        <v>34</v>
      </c>
      <c r="E25" s="1">
        <f>B25*B27</f>
        <v>290.625</v>
      </c>
      <c r="F25" s="1" t="s">
        <v>36</v>
      </c>
    </row>
    <row r="27" spans="1:2" ht="14.25">
      <c r="A27" s="1" t="s">
        <v>43</v>
      </c>
      <c r="B27" s="6">
        <v>3</v>
      </c>
    </row>
    <row r="28" spans="1:6" ht="14.25">
      <c r="A28" s="1" t="s">
        <v>38</v>
      </c>
      <c r="B28" s="6">
        <v>40</v>
      </c>
      <c r="C28" s="1" t="s">
        <v>39</v>
      </c>
      <c r="E28" s="8">
        <f>(E25*1.305407)*COS((3.14159265/180)*B28)</f>
        <v>290.62493578001016</v>
      </c>
      <c r="F28" s="1" t="s">
        <v>40</v>
      </c>
    </row>
    <row r="29" spans="1:7" ht="12.75">
      <c r="A29" s="1" t="s">
        <v>70</v>
      </c>
      <c r="B29" s="14">
        <v>14</v>
      </c>
      <c r="C29" s="1" t="s">
        <v>75</v>
      </c>
      <c r="F29" s="8">
        <f>VLOOKUP(B29,'Solar Day'!A3:C27,3)</f>
        <v>1</v>
      </c>
      <c r="G29" s="1" t="s">
        <v>16</v>
      </c>
    </row>
    <row r="30" spans="6:7" ht="12.75">
      <c r="F30" s="8">
        <f>VLOOKUP(B29,'Solar Day'!A3:D27,4)</f>
        <v>0.28401534438840925</v>
      </c>
      <c r="G30" s="1" t="s">
        <v>17</v>
      </c>
    </row>
    <row r="31" spans="1:10" ht="15.75">
      <c r="A31" s="12" t="s">
        <v>44</v>
      </c>
      <c r="F31" s="8">
        <f>VLOOKUP(B29,'Solar Day'!A3:E27,5)</f>
        <v>0</v>
      </c>
      <c r="G31" s="1" t="s">
        <v>97</v>
      </c>
      <c r="I31" s="4" t="s">
        <v>13</v>
      </c>
      <c r="J31" s="1" t="s">
        <v>14</v>
      </c>
    </row>
    <row r="32" spans="1:11" ht="14.25">
      <c r="A32" s="12" t="s">
        <v>45</v>
      </c>
      <c r="F32" s="8">
        <f>VLOOKUP(B29,'Solar Day'!A3:F27,6)</f>
        <v>0.4338837402726623</v>
      </c>
      <c r="G32" s="1" t="s">
        <v>98</v>
      </c>
      <c r="I32" s="1" t="s">
        <v>11</v>
      </c>
      <c r="J32" s="1">
        <v>314.4</v>
      </c>
      <c r="K32" s="1" t="s">
        <v>12</v>
      </c>
    </row>
    <row r="33" spans="1:11" ht="14.25">
      <c r="A33" s="12"/>
      <c r="F33" s="8">
        <f>VLOOKUP(B29,'Solar Day'!A3:G27,7)</f>
        <v>0</v>
      </c>
      <c r="G33" s="1" t="s">
        <v>20</v>
      </c>
      <c r="I33" s="1" t="s">
        <v>99</v>
      </c>
      <c r="J33" s="1">
        <v>0.5</v>
      </c>
      <c r="K33" s="1">
        <f>F29*J33</f>
        <v>0.5</v>
      </c>
    </row>
    <row r="34" spans="7:13" ht="12.75">
      <c r="G34" s="23"/>
      <c r="H34" s="24"/>
      <c r="I34" s="23"/>
      <c r="L34" s="3" t="s">
        <v>21</v>
      </c>
      <c r="M34" s="3" t="s">
        <v>22</v>
      </c>
    </row>
    <row r="35" spans="1:13" ht="12.75">
      <c r="A35" s="36" t="s">
        <v>111</v>
      </c>
      <c r="F35" s="1" t="s">
        <v>112</v>
      </c>
      <c r="G35" s="35" t="s">
        <v>63</v>
      </c>
      <c r="H35" s="13" t="s">
        <v>110</v>
      </c>
      <c r="I35" s="3"/>
      <c r="L35" s="1">
        <v>10</v>
      </c>
      <c r="M35" s="1">
        <v>0.138</v>
      </c>
    </row>
    <row r="36" spans="1:13" ht="12.75">
      <c r="A36" s="1" t="s">
        <v>79</v>
      </c>
      <c r="F36" s="7" t="s">
        <v>48</v>
      </c>
      <c r="G36" s="1">
        <v>0.9</v>
      </c>
      <c r="H36" s="1" t="s">
        <v>68</v>
      </c>
      <c r="L36" s="1">
        <v>11</v>
      </c>
      <c r="M36" s="1">
        <v>0.123</v>
      </c>
    </row>
    <row r="37" spans="1:13" ht="14.25">
      <c r="A37" s="1" t="s">
        <v>69</v>
      </c>
      <c r="F37" s="1" t="s">
        <v>49</v>
      </c>
      <c r="G37" s="10">
        <f>$E$28*VLOOKUP($B$29,'Solar Day'!$A$3:$C$27,3)</f>
        <v>290.62493578001016</v>
      </c>
      <c r="H37" s="1" t="s">
        <v>67</v>
      </c>
      <c r="I37" s="10"/>
      <c r="L37" s="1">
        <v>12</v>
      </c>
      <c r="M37" s="1">
        <v>0.108</v>
      </c>
    </row>
    <row r="38" spans="1:13" ht="14.25">
      <c r="A38" s="1" t="s">
        <v>57</v>
      </c>
      <c r="F38" s="1" t="s">
        <v>50</v>
      </c>
      <c r="G38" s="1">
        <v>0.5</v>
      </c>
      <c r="H38" s="1" t="s">
        <v>106</v>
      </c>
      <c r="L38" s="1">
        <v>13</v>
      </c>
      <c r="M38" s="1">
        <v>0.093</v>
      </c>
    </row>
    <row r="39" spans="1:13" ht="15.75">
      <c r="A39" s="1" t="s">
        <v>58</v>
      </c>
      <c r="F39" s="1" t="s">
        <v>51</v>
      </c>
      <c r="G39" s="1">
        <v>104</v>
      </c>
      <c r="H39" s="12" t="s">
        <v>66</v>
      </c>
      <c r="L39" s="1">
        <v>14</v>
      </c>
      <c r="M39" s="1">
        <v>0.079</v>
      </c>
    </row>
    <row r="40" spans="1:13" ht="15.75">
      <c r="A40" s="1" t="s">
        <v>59</v>
      </c>
      <c r="F40" s="1" t="s">
        <v>52</v>
      </c>
      <c r="G40" s="1">
        <v>114</v>
      </c>
      <c r="H40" s="12" t="s">
        <v>66</v>
      </c>
      <c r="L40" s="1">
        <v>15</v>
      </c>
      <c r="M40" s="1">
        <v>0.071</v>
      </c>
    </row>
    <row r="41" spans="1:13" ht="15.75">
      <c r="A41" s="1" t="s">
        <v>60</v>
      </c>
      <c r="F41" s="1" t="s">
        <v>54</v>
      </c>
      <c r="G41" s="1">
        <v>4</v>
      </c>
      <c r="H41" s="1" t="s">
        <v>106</v>
      </c>
      <c r="L41" s="1">
        <v>16</v>
      </c>
      <c r="M41" s="1">
        <v>0.064</v>
      </c>
    </row>
    <row r="42" spans="1:13" ht="12.75">
      <c r="A42" s="1" t="s">
        <v>61</v>
      </c>
      <c r="F42" s="7" t="s">
        <v>55</v>
      </c>
      <c r="G42" s="1">
        <v>0.9</v>
      </c>
      <c r="H42" s="1" t="s">
        <v>68</v>
      </c>
      <c r="L42" s="1">
        <v>17</v>
      </c>
      <c r="M42" s="1">
        <v>0.058</v>
      </c>
    </row>
    <row r="43" spans="1:13" ht="14.25">
      <c r="A43" s="1" t="s">
        <v>62</v>
      </c>
      <c r="F43" s="7" t="s">
        <v>56</v>
      </c>
      <c r="G43" s="1">
        <v>0</v>
      </c>
      <c r="H43" s="1" t="s">
        <v>67</v>
      </c>
      <c r="L43" s="1">
        <v>18</v>
      </c>
      <c r="M43" s="1">
        <v>0.052</v>
      </c>
    </row>
    <row r="44" spans="12:13" ht="12.75">
      <c r="L44" s="1">
        <v>19</v>
      </c>
      <c r="M44" s="1">
        <v>0.046</v>
      </c>
    </row>
    <row r="45" spans="5:13" ht="15.75">
      <c r="E45" s="3" t="s">
        <v>65</v>
      </c>
      <c r="F45" s="1" t="s">
        <v>53</v>
      </c>
      <c r="G45" s="10">
        <f>((G36*G37)+(G38*G39)+(G41*G40)-(G42*G43))/(G38+G41)</f>
        <v>171.01387604489094</v>
      </c>
      <c r="H45" s="12" t="s">
        <v>66</v>
      </c>
      <c r="I45" s="10" t="s">
        <v>113</v>
      </c>
      <c r="L45" s="1">
        <v>20</v>
      </c>
      <c r="M45" s="1">
        <v>0.04</v>
      </c>
    </row>
    <row r="46" spans="12:13" ht="12.75">
      <c r="L46" s="1">
        <v>21</v>
      </c>
      <c r="M46" s="1">
        <v>0.037</v>
      </c>
    </row>
    <row r="48" spans="1:9" ht="12.75">
      <c r="A48" s="26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2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2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12.75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23"/>
      <c r="B63" s="27"/>
      <c r="C63" s="23"/>
      <c r="D63" s="23"/>
      <c r="E63" s="23"/>
      <c r="F63" s="23"/>
      <c r="G63" s="23"/>
      <c r="H63" s="23"/>
      <c r="I63" s="23"/>
    </row>
    <row r="64" spans="1:9" ht="12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2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2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2.75">
      <c r="A68" s="28"/>
      <c r="B68" s="23"/>
      <c r="C68" s="23"/>
      <c r="D68" s="23"/>
      <c r="E68" s="23"/>
      <c r="F68" s="23"/>
      <c r="G68" s="23"/>
      <c r="H68" s="23"/>
      <c r="I68" s="23"/>
    </row>
    <row r="69" spans="1:9" ht="12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10" ht="12.75">
      <c r="A71" s="23"/>
      <c r="B71" s="29"/>
      <c r="C71" s="29"/>
      <c r="D71" s="23"/>
      <c r="E71" s="23"/>
      <c r="F71" s="23"/>
      <c r="G71" s="29"/>
      <c r="H71" s="29"/>
      <c r="I71" s="23"/>
      <c r="J71" s="19"/>
    </row>
    <row r="72" spans="1:10" ht="12.75">
      <c r="A72" s="23"/>
      <c r="B72" s="29"/>
      <c r="C72" s="29"/>
      <c r="D72" s="23"/>
      <c r="E72" s="23"/>
      <c r="F72" s="23"/>
      <c r="G72" s="29"/>
      <c r="H72" s="29"/>
      <c r="I72" s="24"/>
      <c r="J72" s="18"/>
    </row>
    <row r="73" spans="1:9" ht="12.75">
      <c r="A73" s="29"/>
      <c r="B73" s="27"/>
      <c r="C73" s="23"/>
      <c r="D73" s="23"/>
      <c r="E73" s="23"/>
      <c r="F73" s="23"/>
      <c r="G73" s="30"/>
      <c r="H73" s="31"/>
      <c r="I73" s="24"/>
    </row>
    <row r="74" spans="1:9" ht="12.75">
      <c r="A74" s="29"/>
      <c r="B74" s="27"/>
      <c r="C74" s="23"/>
      <c r="D74" s="23"/>
      <c r="E74" s="23"/>
      <c r="F74" s="23"/>
      <c r="G74" s="30"/>
      <c r="H74" s="31"/>
      <c r="I74" s="23"/>
    </row>
    <row r="75" spans="1:9" ht="14.25">
      <c r="A75" s="29"/>
      <c r="B75" s="27"/>
      <c r="C75" s="23"/>
      <c r="D75" s="23"/>
      <c r="E75" s="23"/>
      <c r="F75" s="23"/>
      <c r="G75" s="30"/>
      <c r="H75" s="31"/>
      <c r="I75" s="32"/>
    </row>
    <row r="76" spans="1:9" ht="12.75">
      <c r="A76" s="29"/>
      <c r="B76" s="27"/>
      <c r="C76" s="23"/>
      <c r="D76" s="23"/>
      <c r="E76" s="23"/>
      <c r="F76" s="23"/>
      <c r="G76" s="30"/>
      <c r="H76" s="31"/>
      <c r="I76" s="23"/>
    </row>
    <row r="77" spans="1:9" ht="12.75">
      <c r="A77" s="29"/>
      <c r="B77" s="27"/>
      <c r="C77" s="23"/>
      <c r="D77" s="23"/>
      <c r="E77" s="23"/>
      <c r="F77" s="23"/>
      <c r="G77" s="30"/>
      <c r="H77" s="31"/>
      <c r="I77" s="23"/>
    </row>
    <row r="78" spans="1:9" ht="12.75">
      <c r="A78" s="23"/>
      <c r="B78" s="27"/>
      <c r="C78" s="23"/>
      <c r="D78" s="23"/>
      <c r="E78" s="23"/>
      <c r="F78" s="23"/>
      <c r="G78" s="30"/>
      <c r="H78" s="23"/>
      <c r="I78" s="23"/>
    </row>
    <row r="79" spans="1:9" ht="14.25">
      <c r="A79" s="33"/>
      <c r="B79" s="23"/>
      <c r="C79" s="23"/>
      <c r="D79" s="23"/>
      <c r="E79" s="23"/>
      <c r="F79" s="23"/>
      <c r="G79" s="34"/>
      <c r="H79" s="23"/>
      <c r="I79" s="23"/>
    </row>
    <row r="80" spans="1:9" ht="12.75">
      <c r="A80" s="23"/>
      <c r="B80" s="23"/>
      <c r="C80" s="23"/>
      <c r="D80" s="23"/>
      <c r="E80" s="23"/>
      <c r="F80" s="23"/>
      <c r="G80" s="23"/>
      <c r="H80" s="23"/>
      <c r="I80" s="23"/>
    </row>
    <row r="81" spans="1:9" ht="12.75">
      <c r="A81" s="23"/>
      <c r="B81" s="23"/>
      <c r="C81" s="23"/>
      <c r="D81" s="23"/>
      <c r="E81" s="23"/>
      <c r="F81" s="23"/>
      <c r="G81" s="23"/>
      <c r="H81" s="23"/>
      <c r="I81" s="23"/>
    </row>
    <row r="82" spans="1:9" ht="12.75">
      <c r="A82" s="23"/>
      <c r="B82" s="23"/>
      <c r="C82" s="23"/>
      <c r="D82" s="23"/>
      <c r="E82" s="23"/>
      <c r="F82" s="23"/>
      <c r="G82" s="23"/>
      <c r="H82" s="23"/>
      <c r="I82" s="23"/>
    </row>
    <row r="83" spans="1:9" ht="12.75">
      <c r="A83" s="23"/>
      <c r="B83" s="23"/>
      <c r="C83" s="23"/>
      <c r="D83" s="23"/>
      <c r="E83" s="23"/>
      <c r="F83" s="23"/>
      <c r="G83" s="23"/>
      <c r="H83" s="23"/>
      <c r="I83" s="23"/>
    </row>
    <row r="84" spans="1:9" ht="12.75">
      <c r="A84" s="23"/>
      <c r="B84" s="23"/>
      <c r="C84" s="23"/>
      <c r="D84" s="23"/>
      <c r="E84" s="23"/>
      <c r="F84" s="23"/>
      <c r="G84" s="23"/>
      <c r="H84" s="23"/>
      <c r="I84" s="23"/>
    </row>
    <row r="85" spans="1:9" ht="12.75">
      <c r="A85" s="23"/>
      <c r="B85" s="23"/>
      <c r="C85" s="23"/>
      <c r="D85" s="23"/>
      <c r="E85" s="23"/>
      <c r="F85" s="23"/>
      <c r="G85" s="23"/>
      <c r="H85" s="23"/>
      <c r="I85" s="23"/>
    </row>
    <row r="86" spans="1:9" ht="12.75">
      <c r="A86" s="23"/>
      <c r="B86" s="23"/>
      <c r="C86" s="23"/>
      <c r="D86" s="23"/>
      <c r="E86" s="23"/>
      <c r="F86" s="23"/>
      <c r="G86" s="23"/>
      <c r="H86" s="23"/>
      <c r="I86" s="23"/>
    </row>
    <row r="87" spans="1:9" ht="12.75">
      <c r="A87" s="23"/>
      <c r="B87" s="23"/>
      <c r="C87" s="23"/>
      <c r="D87" s="23"/>
      <c r="E87" s="23"/>
      <c r="F87" s="23"/>
      <c r="G87" s="23"/>
      <c r="H87" s="23"/>
      <c r="I87" s="2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J31"/>
  <sheetViews>
    <sheetView workbookViewId="0" topLeftCell="A1">
      <selection activeCell="B21" sqref="B21"/>
    </sheetView>
  </sheetViews>
  <sheetFormatPr defaultColWidth="9.140625" defaultRowHeight="12.75"/>
  <cols>
    <col min="1" max="2" width="9.140625" style="15" customWidth="1"/>
    <col min="3" max="7" width="10.28125" style="15" bestFit="1" customWidth="1"/>
    <col min="8" max="8" width="9.140625" style="15" customWidth="1"/>
    <col min="9" max="9" width="13.140625" style="15" bestFit="1" customWidth="1"/>
    <col min="10" max="16384" width="9.140625" style="15" customWidth="1"/>
  </cols>
  <sheetData>
    <row r="1" spans="2:7" ht="12.75">
      <c r="B1" s="37" t="s">
        <v>90</v>
      </c>
      <c r="C1" s="37"/>
      <c r="D1" s="21" t="s">
        <v>91</v>
      </c>
      <c r="E1" s="21" t="s">
        <v>92</v>
      </c>
      <c r="F1" s="21" t="s">
        <v>93</v>
      </c>
      <c r="G1" s="21" t="s">
        <v>94</v>
      </c>
    </row>
    <row r="2" spans="1:10" ht="12.75">
      <c r="A2" s="15" t="s">
        <v>71</v>
      </c>
      <c r="B2" s="15" t="s">
        <v>72</v>
      </c>
      <c r="C2" s="15" t="s">
        <v>73</v>
      </c>
      <c r="D2" s="15" t="s">
        <v>73</v>
      </c>
      <c r="E2" s="15" t="s">
        <v>73</v>
      </c>
      <c r="F2" s="15" t="s">
        <v>73</v>
      </c>
      <c r="G2" s="15" t="s">
        <v>73</v>
      </c>
      <c r="I2" s="15" t="s">
        <v>74</v>
      </c>
      <c r="J2" s="15">
        <v>1750</v>
      </c>
    </row>
    <row r="3" spans="1:9" ht="12.75">
      <c r="A3" s="15">
        <v>0</v>
      </c>
      <c r="B3" s="15">
        <v>0</v>
      </c>
      <c r="C3" s="17">
        <f aca="true" t="shared" si="0" ref="C3:D8">B3/$J$2</f>
        <v>0</v>
      </c>
      <c r="D3" s="17">
        <f t="shared" si="0"/>
        <v>0</v>
      </c>
      <c r="E3" s="17">
        <f aca="true" t="shared" si="1" ref="E3:E8">C3*SIN(3.14159265/2*((12-A3)/7))</f>
        <v>0</v>
      </c>
      <c r="F3" s="17">
        <v>0</v>
      </c>
      <c r="G3" s="17">
        <v>0</v>
      </c>
      <c r="H3" s="16"/>
      <c r="I3" s="16"/>
    </row>
    <row r="4" spans="1:7" ht="12.75">
      <c r="A4" s="15">
        <v>1</v>
      </c>
      <c r="B4" s="15">
        <v>0</v>
      </c>
      <c r="C4" s="17">
        <f t="shared" si="0"/>
        <v>0</v>
      </c>
      <c r="D4" s="17">
        <f t="shared" si="0"/>
        <v>0</v>
      </c>
      <c r="E4" s="17">
        <f t="shared" si="1"/>
        <v>0</v>
      </c>
      <c r="F4" s="17">
        <v>0</v>
      </c>
      <c r="G4" s="17">
        <v>0</v>
      </c>
    </row>
    <row r="5" spans="1:7" ht="12.75">
      <c r="A5" s="15">
        <v>2</v>
      </c>
      <c r="B5" s="15">
        <v>0</v>
      </c>
      <c r="C5" s="17">
        <f t="shared" si="0"/>
        <v>0</v>
      </c>
      <c r="D5" s="17">
        <f t="shared" si="0"/>
        <v>0</v>
      </c>
      <c r="E5" s="17">
        <f t="shared" si="1"/>
        <v>0</v>
      </c>
      <c r="F5" s="17">
        <v>0</v>
      </c>
      <c r="G5" s="17">
        <v>0</v>
      </c>
    </row>
    <row r="6" spans="1:7" ht="12.75">
      <c r="A6" s="15">
        <v>3</v>
      </c>
      <c r="B6" s="15">
        <v>0</v>
      </c>
      <c r="C6" s="17">
        <f t="shared" si="0"/>
        <v>0</v>
      </c>
      <c r="D6" s="17">
        <f t="shared" si="0"/>
        <v>0</v>
      </c>
      <c r="E6" s="17">
        <f t="shared" si="1"/>
        <v>0</v>
      </c>
      <c r="F6" s="17">
        <v>0</v>
      </c>
      <c r="G6" s="17">
        <v>0</v>
      </c>
    </row>
    <row r="7" spans="1:7" ht="12.75">
      <c r="A7" s="15">
        <v>4</v>
      </c>
      <c r="B7" s="15">
        <v>0</v>
      </c>
      <c r="C7" s="17">
        <f t="shared" si="0"/>
        <v>0</v>
      </c>
      <c r="D7" s="17">
        <f t="shared" si="0"/>
        <v>0</v>
      </c>
      <c r="E7" s="17">
        <f t="shared" si="1"/>
        <v>0</v>
      </c>
      <c r="F7" s="17">
        <v>0</v>
      </c>
      <c r="G7" s="17">
        <v>0</v>
      </c>
    </row>
    <row r="8" spans="1:7" ht="12.75">
      <c r="A8" s="15">
        <v>5</v>
      </c>
      <c r="B8" s="15">
        <v>0</v>
      </c>
      <c r="C8" s="17">
        <f t="shared" si="0"/>
        <v>0</v>
      </c>
      <c r="D8" s="17">
        <f t="shared" si="0"/>
        <v>0</v>
      </c>
      <c r="E8" s="17">
        <f t="shared" si="1"/>
        <v>0</v>
      </c>
      <c r="F8" s="17">
        <v>0</v>
      </c>
      <c r="G8" s="17">
        <v>0</v>
      </c>
    </row>
    <row r="9" spans="1:7" ht="12.75">
      <c r="A9" s="15">
        <v>6</v>
      </c>
      <c r="B9" s="15">
        <v>500</v>
      </c>
      <c r="C9" s="17">
        <f aca="true" t="shared" si="2" ref="C9:C27">B9/$J$2</f>
        <v>0.2857142857142857</v>
      </c>
      <c r="D9" s="17">
        <f>C9*SIN((3.14159265/180)*(Details!$B$28-23.5))</f>
        <v>0.08114724125383121</v>
      </c>
      <c r="E9" s="17">
        <f>C9*SIN(3.14159265/2*((12-A9)/7))</f>
        <v>0.2785508319541368</v>
      </c>
      <c r="F9" s="17">
        <v>0</v>
      </c>
      <c r="G9" s="17">
        <v>0</v>
      </c>
    </row>
    <row r="10" spans="1:7" ht="12.75">
      <c r="A10" s="15">
        <v>7</v>
      </c>
      <c r="B10" s="15">
        <v>1000</v>
      </c>
      <c r="C10" s="17">
        <f t="shared" si="2"/>
        <v>0.5714285714285714</v>
      </c>
      <c r="D10" s="17">
        <f>C10*SIN((3.14159265/180)*(Details!$B$28-23.5))</f>
        <v>0.16229448250766243</v>
      </c>
      <c r="E10" s="17">
        <f aca="true" t="shared" si="3" ref="E10:E15">C10*SIN(3.14159265/2*((12-A10)/7))</f>
        <v>0.5148393527692287</v>
      </c>
      <c r="F10" s="17">
        <v>0</v>
      </c>
      <c r="G10" s="17">
        <v>0</v>
      </c>
    </row>
    <row r="11" spans="1:7" ht="12.75">
      <c r="A11" s="15">
        <v>8</v>
      </c>
      <c r="B11" s="15">
        <v>1500</v>
      </c>
      <c r="C11" s="17">
        <f t="shared" si="2"/>
        <v>0.8571428571428571</v>
      </c>
      <c r="D11" s="17">
        <f>C11*SIN((3.14159265/180)*(Details!$B$28-23.5))</f>
        <v>0.24344172376149364</v>
      </c>
      <c r="E11" s="17">
        <f t="shared" si="3"/>
        <v>0.6701412701387521</v>
      </c>
      <c r="F11" s="17">
        <v>0</v>
      </c>
      <c r="G11" s="17">
        <v>0</v>
      </c>
    </row>
    <row r="12" spans="1:7" ht="12.75">
      <c r="A12" s="15">
        <v>9</v>
      </c>
      <c r="B12" s="15">
        <v>1700</v>
      </c>
      <c r="C12" s="17">
        <f t="shared" si="2"/>
        <v>0.9714285714285714</v>
      </c>
      <c r="D12" s="17">
        <f>C12*SIN((3.14159265/180)*(Details!$B$28-23.5))</f>
        <v>0.27590062026302614</v>
      </c>
      <c r="E12" s="17">
        <f t="shared" si="3"/>
        <v>0.6056758069356788</v>
      </c>
      <c r="F12" s="17">
        <v>0</v>
      </c>
      <c r="G12" s="17">
        <v>0</v>
      </c>
    </row>
    <row r="13" spans="1:7" ht="12.75">
      <c r="A13" s="15">
        <v>10</v>
      </c>
      <c r="B13" s="15">
        <v>1750</v>
      </c>
      <c r="C13" s="17">
        <f t="shared" si="2"/>
        <v>1</v>
      </c>
      <c r="D13" s="17">
        <f>C13*SIN((3.14159265/180)*(Details!$B$28-23.5))</f>
        <v>0.28401534438840925</v>
      </c>
      <c r="E13" s="17">
        <f t="shared" si="3"/>
        <v>0.43388373865551644</v>
      </c>
      <c r="F13" s="17">
        <v>0</v>
      </c>
      <c r="G13" s="17">
        <v>0</v>
      </c>
    </row>
    <row r="14" spans="1:7" ht="12.75">
      <c r="A14" s="15">
        <v>11</v>
      </c>
      <c r="B14" s="15">
        <v>1710</v>
      </c>
      <c r="C14" s="17">
        <f t="shared" si="2"/>
        <v>0.9771428571428571</v>
      </c>
      <c r="D14" s="17">
        <f>C14*SIN((3.14159265/180)*(Details!$B$28-23.5))</f>
        <v>0.2775235650881027</v>
      </c>
      <c r="E14" s="17">
        <f t="shared" si="3"/>
        <v>0.21743474093589904</v>
      </c>
      <c r="F14" s="17">
        <v>0</v>
      </c>
      <c r="G14" s="17">
        <v>0</v>
      </c>
    </row>
    <row r="15" spans="1:7" ht="12.75">
      <c r="A15" s="15">
        <v>12</v>
      </c>
      <c r="B15" s="15">
        <v>1700</v>
      </c>
      <c r="C15" s="17">
        <f t="shared" si="2"/>
        <v>0.9714285714285714</v>
      </c>
      <c r="D15" s="17">
        <f>C15*SIN((3.14159265/180)*(Details!$B$28-23.5))</f>
        <v>0.27590062026302614</v>
      </c>
      <c r="E15" s="17">
        <f t="shared" si="3"/>
        <v>0</v>
      </c>
      <c r="F15" s="17">
        <f>C15*SIN(3.14159265/2*(A15-12)/6)</f>
        <v>0</v>
      </c>
      <c r="G15" s="17">
        <v>0</v>
      </c>
    </row>
    <row r="16" spans="1:7" ht="12.75">
      <c r="A16" s="15">
        <v>13</v>
      </c>
      <c r="B16" s="15">
        <v>1710</v>
      </c>
      <c r="C16" s="17">
        <f t="shared" si="2"/>
        <v>0.9771428571428571</v>
      </c>
      <c r="D16" s="17">
        <f>C16*SIN((3.14159265/180)*(Details!$B$28-23.5))</f>
        <v>0.2775235650881027</v>
      </c>
      <c r="E16" s="17">
        <v>0</v>
      </c>
      <c r="F16" s="17">
        <f>C16*COS(3.14159265/2*(19-A16)/7)</f>
        <v>0.21743474264579615</v>
      </c>
      <c r="G16" s="17">
        <v>0</v>
      </c>
    </row>
    <row r="17" spans="1:7" ht="12.75">
      <c r="A17" s="15">
        <v>14</v>
      </c>
      <c r="B17" s="15">
        <v>1750</v>
      </c>
      <c r="C17" s="17">
        <f t="shared" si="2"/>
        <v>1</v>
      </c>
      <c r="D17" s="17">
        <f>C17*SIN((3.14159265/180)*(Details!$B$28-23.5))</f>
        <v>0.28401534438840925</v>
      </c>
      <c r="E17" s="17">
        <v>0</v>
      </c>
      <c r="F17" s="17">
        <f aca="true" t="shared" si="4" ref="F17:F27">C17*COS(3.14159265/2*(19-A17)/7)</f>
        <v>0.4338837402726623</v>
      </c>
      <c r="G17" s="17">
        <v>0</v>
      </c>
    </row>
    <row r="18" spans="1:7" ht="12.75">
      <c r="A18" s="15">
        <v>15</v>
      </c>
      <c r="B18" s="15">
        <v>1750</v>
      </c>
      <c r="C18" s="17">
        <f t="shared" si="2"/>
        <v>1</v>
      </c>
      <c r="D18" s="17">
        <f>C18*SIN((3.14159265/180)*(Details!$B$28-23.5))</f>
        <v>0.28401534438840925</v>
      </c>
      <c r="E18" s="17">
        <v>0</v>
      </c>
      <c r="F18" s="17">
        <f t="shared" si="4"/>
        <v>0.623489802660623</v>
      </c>
      <c r="G18" s="17">
        <v>0</v>
      </c>
    </row>
    <row r="19" spans="1:7" ht="12.75">
      <c r="A19" s="15">
        <v>16</v>
      </c>
      <c r="B19" s="15">
        <v>1650</v>
      </c>
      <c r="C19" s="17">
        <f t="shared" si="2"/>
        <v>0.9428571428571428</v>
      </c>
      <c r="D19" s="17">
        <f>C19*SIN((3.14159265/180)*(Details!$B$28-23.5))</f>
        <v>0.26778589613764303</v>
      </c>
      <c r="E19" s="17">
        <v>0</v>
      </c>
      <c r="F19" s="17">
        <f t="shared" si="4"/>
        <v>0.7371553982077785</v>
      </c>
      <c r="G19" s="17">
        <v>0</v>
      </c>
    </row>
    <row r="20" spans="1:7" ht="12.75">
      <c r="A20" s="15">
        <v>17</v>
      </c>
      <c r="B20" s="15">
        <v>800</v>
      </c>
      <c r="C20" s="17">
        <f t="shared" si="2"/>
        <v>0.45714285714285713</v>
      </c>
      <c r="D20" s="17">
        <f>C20*SIN((3.14159265/180)*(Details!$B$28-23.5))</f>
        <v>0.12983558600612993</v>
      </c>
      <c r="E20" s="17">
        <v>0</v>
      </c>
      <c r="F20" s="17">
        <f t="shared" si="4"/>
        <v>0.41187148257139505</v>
      </c>
      <c r="G20" s="17">
        <v>0</v>
      </c>
    </row>
    <row r="21" spans="1:7" ht="12.75">
      <c r="A21" s="15">
        <v>18</v>
      </c>
      <c r="B21" s="15">
        <v>500</v>
      </c>
      <c r="C21" s="17">
        <f t="shared" si="2"/>
        <v>0.2857142857142857</v>
      </c>
      <c r="D21" s="17">
        <f>C21*SIN((3.14159265/180)*(Details!$B$28-23.5))</f>
        <v>0.08114724125383121</v>
      </c>
      <c r="E21" s="17">
        <v>0</v>
      </c>
      <c r="F21" s="17">
        <f t="shared" si="4"/>
        <v>0.2785508320682517</v>
      </c>
      <c r="G21" s="17">
        <v>0</v>
      </c>
    </row>
    <row r="22" spans="1:7" ht="12.75">
      <c r="A22" s="15">
        <v>19</v>
      </c>
      <c r="B22" s="15">
        <v>0</v>
      </c>
      <c r="C22" s="17">
        <f t="shared" si="2"/>
        <v>0</v>
      </c>
      <c r="D22" s="17">
        <f aca="true" t="shared" si="5" ref="D22:D27">C22/$J$2</f>
        <v>0</v>
      </c>
      <c r="E22" s="17">
        <f aca="true" t="shared" si="6" ref="E22:E27">C22*COS(3.14159265/2*((12-A22)/7))</f>
        <v>0</v>
      </c>
      <c r="F22" s="17">
        <f t="shared" si="4"/>
        <v>0</v>
      </c>
      <c r="G22" s="17">
        <v>0</v>
      </c>
    </row>
    <row r="23" spans="1:7" ht="12.75">
      <c r="A23" s="15">
        <v>20</v>
      </c>
      <c r="B23" s="15">
        <v>0</v>
      </c>
      <c r="C23" s="17">
        <f t="shared" si="2"/>
        <v>0</v>
      </c>
      <c r="D23" s="17">
        <f t="shared" si="5"/>
        <v>0</v>
      </c>
      <c r="E23" s="17">
        <f t="shared" si="6"/>
        <v>0</v>
      </c>
      <c r="F23" s="17">
        <f t="shared" si="4"/>
        <v>0</v>
      </c>
      <c r="G23" s="17">
        <v>0</v>
      </c>
    </row>
    <row r="24" spans="1:8" ht="12.75">
      <c r="A24" s="15">
        <v>21</v>
      </c>
      <c r="B24" s="15">
        <v>0</v>
      </c>
      <c r="C24" s="17">
        <f t="shared" si="2"/>
        <v>0</v>
      </c>
      <c r="D24" s="17">
        <f t="shared" si="5"/>
        <v>0</v>
      </c>
      <c r="E24" s="17">
        <f t="shared" si="6"/>
        <v>0</v>
      </c>
      <c r="F24" s="17">
        <f t="shared" si="4"/>
        <v>0</v>
      </c>
      <c r="G24" s="17">
        <v>0</v>
      </c>
      <c r="H24" s="25"/>
    </row>
    <row r="25" spans="1:8" ht="12.75">
      <c r="A25" s="15">
        <v>22</v>
      </c>
      <c r="B25" s="15">
        <v>0</v>
      </c>
      <c r="C25" s="17">
        <f t="shared" si="2"/>
        <v>0</v>
      </c>
      <c r="D25" s="17">
        <f t="shared" si="5"/>
        <v>0</v>
      </c>
      <c r="E25" s="17">
        <f t="shared" si="6"/>
        <v>0</v>
      </c>
      <c r="F25" s="17">
        <f t="shared" si="4"/>
        <v>0</v>
      </c>
      <c r="G25" s="17">
        <v>0</v>
      </c>
      <c r="H25" s="22"/>
    </row>
    <row r="26" spans="1:8" ht="12.75">
      <c r="A26" s="15">
        <v>23</v>
      </c>
      <c r="B26" s="15">
        <v>0</v>
      </c>
      <c r="C26" s="17">
        <f t="shared" si="2"/>
        <v>0</v>
      </c>
      <c r="D26" s="17">
        <f t="shared" si="5"/>
        <v>0</v>
      </c>
      <c r="E26" s="17">
        <f t="shared" si="6"/>
        <v>0</v>
      </c>
      <c r="F26" s="17">
        <f t="shared" si="4"/>
        <v>0</v>
      </c>
      <c r="G26" s="17">
        <v>0</v>
      </c>
      <c r="H26" s="22"/>
    </row>
    <row r="27" spans="1:8" ht="12.75">
      <c r="A27" s="15">
        <v>24</v>
      </c>
      <c r="B27" s="15">
        <v>0</v>
      </c>
      <c r="C27" s="17">
        <f t="shared" si="2"/>
        <v>0</v>
      </c>
      <c r="D27" s="17">
        <f t="shared" si="5"/>
        <v>0</v>
      </c>
      <c r="E27" s="17">
        <f t="shared" si="6"/>
        <v>0</v>
      </c>
      <c r="F27" s="17">
        <f t="shared" si="4"/>
        <v>0</v>
      </c>
      <c r="G27" s="17">
        <v>0</v>
      </c>
      <c r="H27" s="25"/>
    </row>
    <row r="28" ht="12.75">
      <c r="H28" s="25"/>
    </row>
    <row r="29" ht="12.75">
      <c r="H29" s="25"/>
    </row>
    <row r="30" spans="1:8" ht="12.75">
      <c r="A30" s="15" t="s">
        <v>95</v>
      </c>
      <c r="H30" s="25"/>
    </row>
    <row r="31" spans="1:8" ht="12.75">
      <c r="A31" s="15" t="s">
        <v>96</v>
      </c>
      <c r="H31" s="25"/>
    </row>
  </sheetData>
  <mergeCells count="1">
    <mergeCell ref="B1:C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Eaton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Loucks</dc:creator>
  <cp:keywords/>
  <dc:description/>
  <cp:lastModifiedBy>David Loucks</cp:lastModifiedBy>
  <dcterms:created xsi:type="dcterms:W3CDTF">2003-06-09T12:45:17Z</dcterms:created>
  <dcterms:modified xsi:type="dcterms:W3CDTF">2004-05-12T21:11:16Z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